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9035" windowHeight="844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L47" i="1"/>
  <c r="S45"/>
  <c r="R45"/>
  <c r="Q45"/>
  <c r="P45"/>
  <c r="O45"/>
  <c r="N45"/>
  <c r="M45"/>
  <c r="L45"/>
  <c r="K45"/>
  <c r="J45"/>
  <c r="I45"/>
  <c r="H45"/>
  <c r="G45"/>
  <c r="F45"/>
  <c r="E45"/>
  <c r="S38"/>
  <c r="S39" s="1"/>
  <c r="S40" s="1"/>
  <c r="R40"/>
  <c r="Q40"/>
  <c r="P40"/>
  <c r="O40"/>
  <c r="N40"/>
  <c r="M40"/>
  <c r="L40"/>
  <c r="K40"/>
  <c r="J40"/>
  <c r="I40"/>
  <c r="H40"/>
  <c r="G40"/>
  <c r="F40"/>
  <c r="S34"/>
  <c r="R34"/>
  <c r="Q34"/>
  <c r="P34"/>
  <c r="O34"/>
  <c r="N34"/>
  <c r="M34"/>
  <c r="L34"/>
  <c r="K34"/>
  <c r="J34"/>
  <c r="I34"/>
  <c r="H34"/>
  <c r="G34"/>
  <c r="F34"/>
  <c r="E40"/>
  <c r="S37"/>
  <c r="R37"/>
  <c r="Q37"/>
  <c r="P37"/>
  <c r="O37"/>
  <c r="N37"/>
  <c r="M37"/>
  <c r="L37"/>
  <c r="K37"/>
  <c r="J37"/>
  <c r="I37"/>
  <c r="H37"/>
  <c r="G37"/>
  <c r="F37"/>
  <c r="E37"/>
  <c r="E14"/>
  <c r="S27"/>
  <c r="R27"/>
  <c r="Q27"/>
  <c r="P27"/>
  <c r="O27"/>
  <c r="N27"/>
  <c r="M27"/>
  <c r="L27"/>
  <c r="K27"/>
  <c r="J27"/>
  <c r="I27"/>
  <c r="H27"/>
  <c r="G27"/>
  <c r="S26"/>
  <c r="R26"/>
  <c r="Q26"/>
  <c r="P26"/>
  <c r="O26"/>
  <c r="N26"/>
  <c r="M26"/>
  <c r="L26"/>
  <c r="K26"/>
  <c r="J26"/>
  <c r="I26"/>
  <c r="H26"/>
  <c r="G26"/>
  <c r="S23"/>
  <c r="G23"/>
  <c r="S22"/>
  <c r="R22"/>
  <c r="Q22"/>
  <c r="P22"/>
  <c r="O22"/>
  <c r="N22"/>
  <c r="M22"/>
  <c r="I22"/>
  <c r="J22" s="1"/>
  <c r="K22" s="1"/>
  <c r="L22" s="1"/>
  <c r="H22"/>
  <c r="H23"/>
  <c r="G22"/>
  <c r="G21"/>
  <c r="J10"/>
  <c r="Q18"/>
  <c r="R18" s="1"/>
  <c r="S19"/>
  <c r="E34"/>
  <c r="Q36" l="1"/>
  <c r="P36"/>
  <c r="O36"/>
  <c r="N36"/>
  <c r="M36"/>
  <c r="E38"/>
  <c r="F38" s="1"/>
  <c r="G38" s="1"/>
  <c r="H38" s="1"/>
  <c r="I38" s="1"/>
  <c r="J38" s="1"/>
  <c r="K38" s="1"/>
  <c r="L38" s="1"/>
  <c r="M38" s="1"/>
  <c r="N38" s="1"/>
  <c r="O38" s="1"/>
  <c r="P38" s="1"/>
  <c r="Q38" s="1"/>
  <c r="R38" s="1"/>
  <c r="L36"/>
  <c r="K36"/>
  <c r="J36"/>
  <c r="I36"/>
  <c r="H36"/>
  <c r="G36"/>
  <c r="F36"/>
  <c r="E36"/>
  <c r="R30" l="1"/>
  <c r="H17"/>
  <c r="Q30"/>
  <c r="P30"/>
  <c r="O30"/>
  <c r="N30"/>
  <c r="M30"/>
  <c r="L30"/>
  <c r="K30"/>
  <c r="J30"/>
  <c r="I30"/>
  <c r="H30"/>
  <c r="G30"/>
  <c r="F30"/>
  <c r="F19"/>
  <c r="G19" s="1"/>
  <c r="H19" s="1"/>
  <c r="I19" s="1"/>
  <c r="J19" s="1"/>
  <c r="K19" s="1"/>
  <c r="L19" s="1"/>
  <c r="M19" s="1"/>
  <c r="N19" s="1"/>
  <c r="O19" s="1"/>
  <c r="P19" s="1"/>
  <c r="Q19" s="1"/>
  <c r="R19" s="1"/>
  <c r="F18"/>
  <c r="G18" s="1"/>
  <c r="H18" s="1"/>
  <c r="I18" s="1"/>
  <c r="J18" s="1"/>
  <c r="K18" s="1"/>
  <c r="L18" s="1"/>
  <c r="M18" s="1"/>
  <c r="N18" s="1"/>
  <c r="O18" s="1"/>
  <c r="P18" s="1"/>
  <c r="R39" l="1"/>
  <c r="I23"/>
  <c r="I17"/>
  <c r="J23" s="1"/>
  <c r="E39" l="1"/>
  <c r="G39"/>
  <c r="F39"/>
  <c r="J17"/>
  <c r="K23" s="1"/>
  <c r="H39" l="1"/>
  <c r="K17"/>
  <c r="L23" s="1"/>
  <c r="I39" l="1"/>
  <c r="L17"/>
  <c r="J39" l="1"/>
  <c r="Q23"/>
  <c r="O23"/>
  <c r="M23"/>
  <c r="R23"/>
  <c r="P23"/>
  <c r="N23"/>
  <c r="M17"/>
  <c r="K39" l="1"/>
  <c r="N17"/>
  <c r="L39" l="1"/>
  <c r="O17"/>
  <c r="M39" l="1"/>
  <c r="P17"/>
  <c r="N39" l="1"/>
  <c r="Q17"/>
  <c r="O39" l="1"/>
  <c r="R17"/>
  <c r="P39" l="1"/>
  <c r="Q39" l="1"/>
  <c r="E47" s="1"/>
</calcChain>
</file>

<file path=xl/sharedStrings.xml><?xml version="1.0" encoding="utf-8"?>
<sst xmlns="http://schemas.openxmlformats.org/spreadsheetml/2006/main" count="76" uniqueCount="73">
  <si>
    <t xml:space="preserve"> </t>
  </si>
  <si>
    <t>Costs</t>
  </si>
  <si>
    <t>Advertising 2</t>
  </si>
  <si>
    <t>Vet</t>
  </si>
  <si>
    <t>Board</t>
  </si>
  <si>
    <t>Retirement expenses</t>
  </si>
  <si>
    <t># of stud fees collected if stud healthy</t>
  </si>
  <si>
    <t>%</t>
  </si>
  <si>
    <t xml:space="preserve">   All dollar figures should be multiplied by 1000</t>
  </si>
  <si>
    <t xml:space="preserve">Stallion age </t>
  </si>
  <si>
    <t>Bcup nomination</t>
  </si>
  <si>
    <t xml:space="preserve">The figures below are the "present values" of the net cash flow, where "present value" is net cash flow adjusted for the time value of $ </t>
  </si>
  <si>
    <t>rights that do not benefit the buyer).  If the stallion is syndicated, the value to the syndicate members will be diminished by the value of breeding rights assigned to the farm.</t>
  </si>
  <si>
    <t>*0 Number of live foals are generally slightly higher than this figure, but foal shares, no or slow pay, and partial pay situations lower number of full stud fee equivalents collected.</t>
  </si>
  <si>
    <t>*3 Value calculated as of summer 2016 assuming that revenues from 2016 breedings do NOT transfer to buyer.  This estimated value is total value to all stakeholders.  If the stallion</t>
  </si>
  <si>
    <t>is sold based on this spread sheet, he will bring less, as the buyer(s) will not receive the value associated with the breeding right normally given to the trainer (and any other breeding</t>
  </si>
  <si>
    <t>These calculations do not include the value of revenues derived from Southern Hemisphere breeding, if any.</t>
  </si>
  <si>
    <t>Total Value Summer 2016  *3 =</t>
  </si>
  <si>
    <t>Projected Revenues if healthy to age 21</t>
  </si>
  <si>
    <t>Depreciation rate</t>
  </si>
  <si>
    <t>Taxable income</t>
  </si>
  <si>
    <t>Net cash flow after taxes</t>
  </si>
  <si>
    <t>Cash flow discounted values summer '16</t>
  </si>
  <si>
    <t>Ignore these figs--&gt;</t>
  </si>
  <si>
    <t>Assume that Cousin Joe is purchased for (fill in -&gt;)</t>
  </si>
  <si>
    <t xml:space="preserve"> in the summer of 2016 and that all 2016 stud fees accrue to previous owner(s)</t>
  </si>
  <si>
    <t>Previous year stud fee</t>
  </si>
  <si>
    <t xml:space="preserve">Year </t>
  </si>
  <si>
    <t>Projected Revenues adjt'd for mortality</t>
  </si>
  <si>
    <t>Assumptions</t>
  </si>
  <si>
    <t xml:space="preserve">Probability of Death/Disability of stallion at ages 9 through 15 starts out at </t>
  </si>
  <si>
    <t xml:space="preserve">and increases </t>
  </si>
  <si>
    <t>each year</t>
  </si>
  <si>
    <t xml:space="preserve">Probability of Death/Disability of stallion at ages 15 through 21 starts out at </t>
  </si>
  <si>
    <t>and increases</t>
  </si>
  <si>
    <t>Stallion retired after age 21</t>
  </si>
  <si>
    <t xml:space="preserve">Full stud fee equivalents collected from 2017 breeding season = </t>
  </si>
  <si>
    <t>Mortality/disability factor  = 1 - prob of unavailability</t>
  </si>
  <si>
    <t>(Retired after age 21)</t>
  </si>
  <si>
    <t>This declines gradually (input manually) through age 15, then declines more dramatically</t>
  </si>
  <si>
    <t>Decreased stallion libido/fertility is reflected in assumptions (see below) for stud fees collected if stud healthy</t>
  </si>
  <si>
    <t>% AFTER tax.  The after tax required rate of return is approximately 60% of the before tax rate of return.</t>
  </si>
  <si>
    <t>Net cash flow b4 taxes and depreciation</t>
  </si>
  <si>
    <t>Depreciation using 7 yr. method (f4 x e32)</t>
  </si>
  <si>
    <t>Taxes (offsets outside income in yrs 1-2)</t>
  </si>
  <si>
    <t>Tax rate (Input here)</t>
  </si>
  <si>
    <t>Years past 2016 (used in present val calcs)</t>
  </si>
  <si>
    <t>Value as multiple of projected gross revs =</t>
  </si>
  <si>
    <t>*2 Assume $10000 + half of one stud fee except in first year when stallion purchased half-way through the year 2016.</t>
  </si>
  <si>
    <t xml:space="preserve">calculations as % = </t>
  </si>
  <si>
    <t>*4 Discount rate used in present value</t>
  </si>
  <si>
    <t>Stud fees adjusted for mortality/disability *1</t>
  </si>
  <si>
    <t xml:space="preserve">Required rate of return *4  = </t>
  </si>
  <si>
    <t>*4 The historical yield on stock market investments is approximately 10% (before tax).  The after tax return on the stock market (taking into consideration long term cap gains rates on</t>
  </si>
  <si>
    <t xml:space="preserve">     investments held for multiple years, is probably higher than 7% because the effective tax rate on the stock market is probably close to 30%.  This author would argue that yields </t>
  </si>
  <si>
    <t>&lt;--Input different assumptions to see effects</t>
  </si>
  <si>
    <t>On returns past age 21.</t>
  </si>
  <si>
    <t>If you think my assumptions about availability of a stallion are too pessimistic, you probably also think I should have included some (at least modest) return estimates for our stallion</t>
  </si>
  <si>
    <r>
      <t xml:space="preserve">*1 Assumes Rows six and seven inputs. </t>
    </r>
    <r>
      <rPr>
        <b/>
        <sz val="11"/>
        <color rgb="FFFF0000"/>
        <rFont val="Calibri"/>
        <family val="2"/>
        <scheme val="minor"/>
      </rPr>
      <t xml:space="preserve"> If you use insurance rates rather than mortality tables (which ins cos are reluctant to provide) costs will be higher and stallion value lower.</t>
    </r>
  </si>
  <si>
    <t>at age 22 and beyond.  Even if you are right, the added value of these returns in today's dollars is close to negligible because they are received so far in the future.</t>
  </si>
  <si>
    <t>that is not the relevant argument.  My expectation is that a well-diversified portfolio of thoroughbred investments has value fluctuations similar to that of stock market indices.</t>
  </si>
  <si>
    <t>What about Inflation?</t>
  </si>
  <si>
    <t>Inflation might cause stud fees to increase significantly beyond the estimates used above.  But, that would not necessarily mean that CJ's estimated value would be higher in today's dollars.</t>
  </si>
  <si>
    <t>If inflation is expected then higher fees perhaps should be input, but the effect on value will be largely offset because a higher required rate of return (discount rate) will be required to offset</t>
  </si>
  <si>
    <t>the decreased purchasing value of future dollars.</t>
  </si>
  <si>
    <t>Only if CJ's stud fees outpaced the general levels of inflation would his value be significantly increased.</t>
  </si>
  <si>
    <t xml:space="preserve">on stock market investments in today's low interest rate environment should be expected to be less than 10%, so maybe 6% is a reasonable after-tax discount rate on stock market </t>
  </si>
  <si>
    <t>returns.    So are equine investments similar in risk to the stock market?  Although a horse's idiosyncratic risk is probably higher than that of a stock, based on modern portfolio theory</t>
  </si>
  <si>
    <t>Thanks for Michael Hernon at Gainesway Farm, Steve Johnson at Silver Springs Farm, and staff at the American Horse Council for providing context and information.</t>
  </si>
  <si>
    <t>Any mistakes are those of this author (Robert Losey).   Your comments and corrections are welcomed.</t>
  </si>
  <si>
    <r>
      <rPr>
        <b/>
        <sz val="11"/>
        <color theme="1"/>
        <rFont val="Calibri"/>
        <family val="2"/>
        <scheme val="minor"/>
      </rPr>
      <t xml:space="preserve">The Cousin Joe Spreadsheet </t>
    </r>
    <r>
      <rPr>
        <sz val="11"/>
        <color theme="1"/>
        <rFont val="Calibri"/>
        <family val="2"/>
        <scheme val="minor"/>
      </rPr>
      <t>estimates the value of North American net cash flows to a buyer who buys him in summer 2016 and receives no stud fee revenues from 2016 breeding year.</t>
    </r>
  </si>
  <si>
    <t xml:space="preserve">This spreadsheet is for illustrative purposes only.  Though I have attempted to make it realistic, no guarantee is made of accuracy.  </t>
  </si>
  <si>
    <t>The number of foals produced/stud fees collected for Cousin Joe is rather aggressive.</t>
  </si>
</sst>
</file>

<file path=xl/styles.xml><?xml version="1.0" encoding="utf-8"?>
<styleSheet xmlns="http://schemas.openxmlformats.org/spreadsheetml/2006/main">
  <numFmts count="2">
    <numFmt numFmtId="164" formatCode="0.0"/>
    <numFmt numFmtId="165" formatCode="0.0%"/>
  </numFmts>
  <fonts count="6">
    <font>
      <sz val="11"/>
      <color theme="1"/>
      <name val="Calibri"/>
      <family val="2"/>
      <scheme val="minor"/>
    </font>
    <font>
      <b/>
      <sz val="11"/>
      <color theme="1"/>
      <name val="Calibri"/>
      <family val="2"/>
      <scheme val="minor"/>
    </font>
    <font>
      <b/>
      <sz val="12"/>
      <color theme="1"/>
      <name val="Calibri"/>
      <family val="2"/>
      <scheme val="minor"/>
    </font>
    <font>
      <b/>
      <sz val="11"/>
      <color rgb="FFFF0000"/>
      <name val="Calibri"/>
      <family val="2"/>
      <scheme val="minor"/>
    </font>
    <font>
      <sz val="11"/>
      <color theme="1"/>
      <name val="Calibri"/>
      <family val="2"/>
      <scheme val="minor"/>
    </font>
    <font>
      <sz val="11"/>
      <color rgb="FFFF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4" fillId="0" borderId="0" applyFont="0" applyFill="0" applyBorder="0" applyAlignment="0" applyProtection="0"/>
  </cellStyleXfs>
  <cellXfs count="11">
    <xf numFmtId="0" fontId="0" fillId="0" borderId="0" xfId="0"/>
    <xf numFmtId="0" fontId="2" fillId="0" borderId="0" xfId="0" applyFont="1"/>
    <xf numFmtId="164" fontId="0" fillId="0" borderId="0" xfId="0" applyNumberFormat="1"/>
    <xf numFmtId="1" fontId="0" fillId="0" borderId="0" xfId="0" applyNumberFormat="1"/>
    <xf numFmtId="1" fontId="5" fillId="0" borderId="0" xfId="0" applyNumberFormat="1" applyFont="1"/>
    <xf numFmtId="1" fontId="3" fillId="0" borderId="0" xfId="0" applyNumberFormat="1" applyFont="1"/>
    <xf numFmtId="9" fontId="0" fillId="0" borderId="0" xfId="1" applyFont="1"/>
    <xf numFmtId="165" fontId="0" fillId="0" borderId="0" xfId="1" applyNumberFormat="1" applyFont="1"/>
    <xf numFmtId="9" fontId="0" fillId="0" borderId="0" xfId="0" applyNumberFormat="1"/>
    <xf numFmtId="0" fontId="1" fillId="0" borderId="0" xfId="0" applyFont="1"/>
    <xf numFmtId="0" fontId="3" fillId="0" borderId="0" xfId="0" applyFont="1"/>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70"/>
  <sheetViews>
    <sheetView tabSelected="1" workbookViewId="0">
      <selection activeCell="B6" sqref="B6:E6"/>
    </sheetView>
  </sheetViews>
  <sheetFormatPr defaultRowHeight="15"/>
  <cols>
    <col min="1" max="1" width="4.85546875" customWidth="1"/>
    <col min="4" max="4" width="19.42578125" customWidth="1"/>
    <col min="5" max="6" width="8.28515625" customWidth="1"/>
    <col min="7" max="7" width="7.85546875" customWidth="1"/>
    <col min="8" max="8" width="8.5703125" customWidth="1"/>
    <col min="9" max="9" width="7.7109375" customWidth="1"/>
    <col min="10" max="10" width="8.28515625" customWidth="1"/>
    <col min="11" max="11" width="8" customWidth="1"/>
    <col min="12" max="12" width="9.28515625" customWidth="1"/>
    <col min="13" max="13" width="8.140625" customWidth="1"/>
    <col min="14" max="14" width="8" customWidth="1"/>
    <col min="15" max="15" width="7.85546875" customWidth="1"/>
    <col min="16" max="17" width="8" customWidth="1"/>
    <col min="18" max="18" width="8.5703125" customWidth="1"/>
    <col min="19" max="19" width="7.5703125" customWidth="1"/>
  </cols>
  <sheetData>
    <row r="1" spans="1:35">
      <c r="B1" t="s">
        <v>68</v>
      </c>
    </row>
    <row r="2" spans="1:35">
      <c r="B2" t="s">
        <v>69</v>
      </c>
    </row>
    <row r="4" spans="1:35">
      <c r="A4" t="s">
        <v>70</v>
      </c>
      <c r="U4" t="s">
        <v>23</v>
      </c>
      <c r="W4">
        <v>200</v>
      </c>
      <c r="X4">
        <v>200</v>
      </c>
      <c r="Y4">
        <v>200</v>
      </c>
      <c r="Z4">
        <v>200</v>
      </c>
      <c r="AA4">
        <v>200</v>
      </c>
      <c r="AB4">
        <v>200</v>
      </c>
      <c r="AC4">
        <v>195</v>
      </c>
      <c r="AD4">
        <v>190</v>
      </c>
      <c r="AE4">
        <v>185</v>
      </c>
      <c r="AF4">
        <v>180</v>
      </c>
      <c r="AG4">
        <v>175</v>
      </c>
      <c r="AH4">
        <v>170</v>
      </c>
      <c r="AI4">
        <v>165</v>
      </c>
    </row>
    <row r="5" spans="1:35">
      <c r="B5" t="s">
        <v>71</v>
      </c>
    </row>
    <row r="6" spans="1:35">
      <c r="B6" s="9" t="s">
        <v>8</v>
      </c>
      <c r="C6" s="9"/>
      <c r="D6" s="9"/>
      <c r="E6" s="9"/>
      <c r="G6" t="s">
        <v>72</v>
      </c>
    </row>
    <row r="7" spans="1:35">
      <c r="B7" t="s">
        <v>24</v>
      </c>
      <c r="F7" s="10">
        <v>80000</v>
      </c>
      <c r="G7" t="s">
        <v>25</v>
      </c>
    </row>
    <row r="9" spans="1:35">
      <c r="A9" t="s">
        <v>29</v>
      </c>
      <c r="C9" t="s">
        <v>30</v>
      </c>
      <c r="J9" s="6">
        <v>0.01</v>
      </c>
      <c r="K9" t="s">
        <v>31</v>
      </c>
      <c r="M9" s="7">
        <v>1E-3</v>
      </c>
      <c r="N9" t="s">
        <v>32</v>
      </c>
    </row>
    <row r="10" spans="1:35">
      <c r="C10" t="s">
        <v>33</v>
      </c>
      <c r="J10" s="7">
        <f>+J9+M9*6</f>
        <v>1.6E-2</v>
      </c>
      <c r="K10" t="s">
        <v>34</v>
      </c>
      <c r="M10" s="7">
        <v>1.4999999999999999E-2</v>
      </c>
      <c r="N10" t="s">
        <v>32</v>
      </c>
      <c r="P10" t="s">
        <v>55</v>
      </c>
    </row>
    <row r="11" spans="1:35">
      <c r="C11" t="s">
        <v>35</v>
      </c>
    </row>
    <row r="12" spans="1:35">
      <c r="C12" t="s">
        <v>36</v>
      </c>
      <c r="I12">
        <v>160</v>
      </c>
      <c r="J12" t="s">
        <v>39</v>
      </c>
    </row>
    <row r="13" spans="1:35">
      <c r="C13" t="s">
        <v>40</v>
      </c>
    </row>
    <row r="14" spans="1:35">
      <c r="C14" t="s">
        <v>52</v>
      </c>
      <c r="E14">
        <f>+D43</f>
        <v>6</v>
      </c>
      <c r="F14" t="s">
        <v>41</v>
      </c>
    </row>
    <row r="15" spans="1:35" ht="15.75" customHeight="1"/>
    <row r="16" spans="1:35">
      <c r="B16" t="s">
        <v>0</v>
      </c>
    </row>
    <row r="17" spans="1:20">
      <c r="B17" t="s">
        <v>46</v>
      </c>
      <c r="E17">
        <v>0</v>
      </c>
      <c r="F17">
        <v>1</v>
      </c>
      <c r="G17">
        <v>2</v>
      </c>
      <c r="H17">
        <f>+G17+1</f>
        <v>3</v>
      </c>
      <c r="I17">
        <f t="shared" ref="I17:R18" si="0">+H17+1</f>
        <v>4</v>
      </c>
      <c r="J17">
        <f t="shared" si="0"/>
        <v>5</v>
      </c>
      <c r="K17">
        <f t="shared" si="0"/>
        <v>6</v>
      </c>
      <c r="L17">
        <f t="shared" si="0"/>
        <v>7</v>
      </c>
      <c r="M17">
        <f t="shared" si="0"/>
        <v>8</v>
      </c>
      <c r="N17">
        <f t="shared" si="0"/>
        <v>9</v>
      </c>
      <c r="O17">
        <f t="shared" si="0"/>
        <v>10</v>
      </c>
      <c r="P17">
        <f t="shared" si="0"/>
        <v>11</v>
      </c>
      <c r="Q17">
        <f t="shared" si="0"/>
        <v>12</v>
      </c>
      <c r="R17">
        <f t="shared" si="0"/>
        <v>13</v>
      </c>
      <c r="S17">
        <v>14</v>
      </c>
      <c r="T17">
        <v>15</v>
      </c>
    </row>
    <row r="18" spans="1:20">
      <c r="B18" t="s">
        <v>9</v>
      </c>
      <c r="E18">
        <v>8</v>
      </c>
      <c r="F18">
        <f>+E18+1</f>
        <v>9</v>
      </c>
      <c r="G18">
        <f t="shared" ref="G18:P18" si="1">+F18+1</f>
        <v>10</v>
      </c>
      <c r="H18">
        <f t="shared" si="1"/>
        <v>11</v>
      </c>
      <c r="I18">
        <f t="shared" si="1"/>
        <v>12</v>
      </c>
      <c r="J18">
        <f t="shared" si="1"/>
        <v>13</v>
      </c>
      <c r="K18">
        <f t="shared" si="1"/>
        <v>14</v>
      </c>
      <c r="L18">
        <f t="shared" si="1"/>
        <v>15</v>
      </c>
      <c r="M18">
        <f t="shared" si="1"/>
        <v>16</v>
      </c>
      <c r="N18">
        <f t="shared" si="1"/>
        <v>17</v>
      </c>
      <c r="O18">
        <f t="shared" si="1"/>
        <v>18</v>
      </c>
      <c r="P18">
        <f t="shared" si="1"/>
        <v>19</v>
      </c>
      <c r="Q18">
        <f t="shared" si="0"/>
        <v>20</v>
      </c>
      <c r="R18">
        <f t="shared" si="0"/>
        <v>21</v>
      </c>
      <c r="S18" t="s">
        <v>38</v>
      </c>
    </row>
    <row r="19" spans="1:20">
      <c r="B19" t="s">
        <v>27</v>
      </c>
      <c r="E19">
        <v>2016</v>
      </c>
      <c r="F19">
        <f t="shared" ref="F19:P19" si="2">+E19+1</f>
        <v>2017</v>
      </c>
      <c r="G19">
        <f t="shared" si="2"/>
        <v>2018</v>
      </c>
      <c r="H19">
        <f t="shared" si="2"/>
        <v>2019</v>
      </c>
      <c r="I19">
        <f t="shared" si="2"/>
        <v>2020</v>
      </c>
      <c r="J19">
        <f t="shared" si="2"/>
        <v>2021</v>
      </c>
      <c r="K19">
        <f t="shared" si="2"/>
        <v>2022</v>
      </c>
      <c r="L19">
        <f t="shared" si="2"/>
        <v>2023</v>
      </c>
      <c r="M19">
        <f t="shared" si="2"/>
        <v>2024</v>
      </c>
      <c r="N19">
        <f t="shared" si="2"/>
        <v>2025</v>
      </c>
      <c r="O19">
        <f t="shared" si="2"/>
        <v>2026</v>
      </c>
      <c r="P19">
        <f t="shared" si="2"/>
        <v>2027</v>
      </c>
      <c r="Q19">
        <f t="shared" ref="Q19:S19" si="3">+P19+1</f>
        <v>2028</v>
      </c>
      <c r="R19">
        <f t="shared" si="3"/>
        <v>2029</v>
      </c>
      <c r="S19">
        <f t="shared" si="3"/>
        <v>2030</v>
      </c>
    </row>
    <row r="20" spans="1:20">
      <c r="B20" t="s">
        <v>26</v>
      </c>
      <c r="G20">
        <v>100</v>
      </c>
      <c r="H20">
        <v>100</v>
      </c>
      <c r="I20">
        <v>100</v>
      </c>
      <c r="J20">
        <v>100</v>
      </c>
      <c r="K20">
        <v>100</v>
      </c>
      <c r="L20">
        <v>100</v>
      </c>
      <c r="M20">
        <v>98</v>
      </c>
      <c r="N20">
        <v>95</v>
      </c>
      <c r="O20">
        <v>92</v>
      </c>
      <c r="P20">
        <v>89</v>
      </c>
      <c r="Q20">
        <v>86</v>
      </c>
      <c r="R20">
        <v>82</v>
      </c>
      <c r="S20">
        <v>77</v>
      </c>
    </row>
    <row r="21" spans="1:20">
      <c r="B21" t="s">
        <v>6</v>
      </c>
      <c r="G21">
        <f>+I12</f>
        <v>160</v>
      </c>
      <c r="H21">
        <v>158</v>
      </c>
      <c r="I21">
        <v>155</v>
      </c>
      <c r="J21">
        <v>151</v>
      </c>
      <c r="K21">
        <v>146</v>
      </c>
      <c r="L21">
        <v>140</v>
      </c>
      <c r="M21">
        <v>133</v>
      </c>
      <c r="N21">
        <v>125</v>
      </c>
      <c r="O21">
        <v>112</v>
      </c>
      <c r="P21">
        <v>98</v>
      </c>
      <c r="Q21">
        <v>82</v>
      </c>
      <c r="R21">
        <v>65</v>
      </c>
      <c r="S21">
        <v>50</v>
      </c>
    </row>
    <row r="22" spans="1:20">
      <c r="B22" t="s">
        <v>37</v>
      </c>
      <c r="G22" s="8">
        <f>1-J9</f>
        <v>0.99</v>
      </c>
      <c r="H22">
        <f>+G22*(1-$J9-F17*$M9)</f>
        <v>0.97911000000000004</v>
      </c>
      <c r="I22">
        <f t="shared" ref="I22:L22" si="4">+H22*(1-$J9-G17*$M9)</f>
        <v>0.96736067999999997</v>
      </c>
      <c r="J22">
        <f t="shared" si="4"/>
        <v>0.95478499115999993</v>
      </c>
      <c r="K22">
        <f t="shared" si="4"/>
        <v>0.94141800128375996</v>
      </c>
      <c r="L22">
        <f t="shared" si="4"/>
        <v>0.92729673126450352</v>
      </c>
      <c r="M22">
        <f t="shared" ref="M22:S22" si="5">+L22*(1-F17*$M10)</f>
        <v>0.91338728029553595</v>
      </c>
      <c r="N22">
        <f t="shared" si="5"/>
        <v>0.88598566188666983</v>
      </c>
      <c r="O22">
        <f t="shared" si="5"/>
        <v>0.84611630710176966</v>
      </c>
      <c r="P22">
        <f t="shared" si="5"/>
        <v>0.79534932867566344</v>
      </c>
      <c r="Q22">
        <f t="shared" si="5"/>
        <v>0.73569812902498877</v>
      </c>
      <c r="R22">
        <f t="shared" si="5"/>
        <v>0.66948529741273977</v>
      </c>
      <c r="S22">
        <f t="shared" si="5"/>
        <v>0.59918934118440215</v>
      </c>
    </row>
    <row r="23" spans="1:20">
      <c r="B23" t="s">
        <v>51</v>
      </c>
      <c r="G23" s="2">
        <f>+G21*G22</f>
        <v>158.4</v>
      </c>
      <c r="H23" s="2">
        <f t="shared" ref="H23:M23" si="6">+H21*(0.99)^G17</f>
        <v>154.85579999999999</v>
      </c>
      <c r="I23" s="2">
        <f t="shared" si="6"/>
        <v>150.396345</v>
      </c>
      <c r="J23" s="2">
        <f t="shared" si="6"/>
        <v>145.04999751</v>
      </c>
      <c r="K23" s="2">
        <f t="shared" si="6"/>
        <v>138.84454728539998</v>
      </c>
      <c r="L23" s="2">
        <f t="shared" si="6"/>
        <v>131.80722091613998</v>
      </c>
      <c r="M23" s="2">
        <f t="shared" si="6"/>
        <v>123.96469127162966</v>
      </c>
      <c r="N23" s="2">
        <f>+N21*0.975*(0.99)^$L17</f>
        <v>113.59546427616439</v>
      </c>
      <c r="O23" s="2">
        <f>+O21*0.975*0.96*(0.99)^$L17</f>
        <v>97.71027455178556</v>
      </c>
      <c r="P23" s="2">
        <f>+P21*0.975*0.96*0.945*(0.99)^$L17</f>
        <v>80.794183270007679</v>
      </c>
      <c r="Q23" s="2">
        <f>+Q21*0.975*0.96*0.945*0.93*(0.99)^$L17</f>
        <v>62.871065471130464</v>
      </c>
      <c r="R23" s="2">
        <f>+R21*0.975*0.96*0.945*0.93*0.915*(0.99)^$L17</f>
        <v>45.600690474335174</v>
      </c>
      <c r="S23" s="2">
        <f>+S21*S22</f>
        <v>29.959467059220106</v>
      </c>
    </row>
    <row r="24" spans="1:20">
      <c r="G24" s="3"/>
      <c r="H24" s="3"/>
      <c r="I24" s="3"/>
      <c r="J24" s="3"/>
      <c r="K24" s="3"/>
      <c r="L24" s="3"/>
      <c r="M24" s="3"/>
      <c r="N24" s="3"/>
      <c r="O24" s="3"/>
      <c r="P24" s="3"/>
      <c r="Q24" s="3"/>
      <c r="R24" s="3"/>
      <c r="S24" s="3"/>
    </row>
    <row r="25" spans="1:20">
      <c r="G25" s="3"/>
      <c r="H25" s="3"/>
      <c r="I25" s="3"/>
      <c r="J25" s="3"/>
      <c r="K25" s="3"/>
      <c r="L25" s="3"/>
      <c r="M25" s="3"/>
      <c r="N25" s="3"/>
      <c r="O25" s="3"/>
      <c r="P25" s="3"/>
      <c r="Q25" s="3"/>
      <c r="R25" s="3"/>
      <c r="S25" s="3"/>
    </row>
    <row r="26" spans="1:20">
      <c r="B26" t="s">
        <v>18</v>
      </c>
      <c r="G26" s="3">
        <f>+G20*G21</f>
        <v>16000</v>
      </c>
      <c r="H26" s="3">
        <f t="shared" ref="H26:S26" si="7">+H20*H21</f>
        <v>15800</v>
      </c>
      <c r="I26" s="3">
        <f t="shared" si="7"/>
        <v>15500</v>
      </c>
      <c r="J26" s="3">
        <f t="shared" si="7"/>
        <v>15100</v>
      </c>
      <c r="K26" s="3">
        <f t="shared" si="7"/>
        <v>14600</v>
      </c>
      <c r="L26" s="3">
        <f t="shared" si="7"/>
        <v>14000</v>
      </c>
      <c r="M26" s="3">
        <f t="shared" si="7"/>
        <v>13034</v>
      </c>
      <c r="N26" s="3">
        <f t="shared" si="7"/>
        <v>11875</v>
      </c>
      <c r="O26" s="3">
        <f t="shared" si="7"/>
        <v>10304</v>
      </c>
      <c r="P26" s="3">
        <f t="shared" si="7"/>
        <v>8722</v>
      </c>
      <c r="Q26" s="3">
        <f t="shared" si="7"/>
        <v>7052</v>
      </c>
      <c r="R26" s="3">
        <f t="shared" si="7"/>
        <v>5330</v>
      </c>
      <c r="S26" s="3">
        <f t="shared" si="7"/>
        <v>3850</v>
      </c>
    </row>
    <row r="27" spans="1:20">
      <c r="B27" t="s">
        <v>28</v>
      </c>
      <c r="E27">
        <v>0</v>
      </c>
      <c r="F27">
        <v>0</v>
      </c>
      <c r="G27" s="3">
        <f>+G20*G23</f>
        <v>15840</v>
      </c>
      <c r="H27" s="3">
        <f t="shared" ref="H27:S27" si="8">+H20*H23</f>
        <v>15485.579999999998</v>
      </c>
      <c r="I27" s="3">
        <f t="shared" si="8"/>
        <v>15039.6345</v>
      </c>
      <c r="J27" s="3">
        <f t="shared" si="8"/>
        <v>14504.999750999999</v>
      </c>
      <c r="K27" s="3">
        <f t="shared" si="8"/>
        <v>13884.454728539999</v>
      </c>
      <c r="L27" s="3">
        <f t="shared" si="8"/>
        <v>13180.722091613998</v>
      </c>
      <c r="M27" s="3">
        <f t="shared" si="8"/>
        <v>12148.539744619708</v>
      </c>
      <c r="N27" s="3">
        <f t="shared" si="8"/>
        <v>10791.569106235618</v>
      </c>
      <c r="O27" s="3">
        <f t="shared" si="8"/>
        <v>8989.3452587642714</v>
      </c>
      <c r="P27" s="3">
        <f t="shared" si="8"/>
        <v>7190.6823110306832</v>
      </c>
      <c r="Q27" s="3">
        <f t="shared" si="8"/>
        <v>5406.9116305172201</v>
      </c>
      <c r="R27" s="3">
        <f t="shared" si="8"/>
        <v>3739.2566188954843</v>
      </c>
      <c r="S27" s="3">
        <f t="shared" si="8"/>
        <v>2306.8789635599483</v>
      </c>
    </row>
    <row r="28" spans="1:20" ht="15.75">
      <c r="A28" s="1" t="s">
        <v>1</v>
      </c>
    </row>
    <row r="29" spans="1:20">
      <c r="B29" t="s">
        <v>10</v>
      </c>
      <c r="G29">
        <v>100</v>
      </c>
      <c r="H29">
        <v>100</v>
      </c>
      <c r="I29">
        <v>100</v>
      </c>
      <c r="J29">
        <v>100</v>
      </c>
      <c r="K29">
        <v>100</v>
      </c>
      <c r="L29">
        <v>100</v>
      </c>
      <c r="M29">
        <v>98</v>
      </c>
      <c r="N29">
        <v>95</v>
      </c>
      <c r="O29">
        <v>92</v>
      </c>
      <c r="P29">
        <v>89</v>
      </c>
      <c r="Q29">
        <v>86</v>
      </c>
      <c r="R29">
        <v>82</v>
      </c>
      <c r="S29">
        <v>77</v>
      </c>
    </row>
    <row r="30" spans="1:20">
      <c r="B30" t="s">
        <v>2</v>
      </c>
      <c r="E30">
        <v>30</v>
      </c>
      <c r="F30">
        <f t="shared" ref="F30:R30" si="9">10+0.5*G20</f>
        <v>60</v>
      </c>
      <c r="G30">
        <f t="shared" si="9"/>
        <v>60</v>
      </c>
      <c r="H30">
        <f t="shared" si="9"/>
        <v>60</v>
      </c>
      <c r="I30">
        <f t="shared" si="9"/>
        <v>60</v>
      </c>
      <c r="J30">
        <f t="shared" si="9"/>
        <v>60</v>
      </c>
      <c r="K30">
        <f t="shared" si="9"/>
        <v>60</v>
      </c>
      <c r="L30">
        <f t="shared" si="9"/>
        <v>59</v>
      </c>
      <c r="M30">
        <f t="shared" si="9"/>
        <v>57.5</v>
      </c>
      <c r="N30">
        <f t="shared" si="9"/>
        <v>56</v>
      </c>
      <c r="O30">
        <f t="shared" si="9"/>
        <v>54.5</v>
      </c>
      <c r="P30">
        <f t="shared" si="9"/>
        <v>53</v>
      </c>
      <c r="Q30">
        <f t="shared" si="9"/>
        <v>51</v>
      </c>
      <c r="R30">
        <f t="shared" si="9"/>
        <v>48.5</v>
      </c>
    </row>
    <row r="31" spans="1:20">
      <c r="B31" t="s">
        <v>3</v>
      </c>
      <c r="E31">
        <v>5</v>
      </c>
      <c r="F31">
        <v>10</v>
      </c>
      <c r="G31">
        <v>10</v>
      </c>
      <c r="H31">
        <v>10</v>
      </c>
      <c r="I31">
        <v>10</v>
      </c>
      <c r="J31">
        <v>10</v>
      </c>
      <c r="K31">
        <v>10</v>
      </c>
      <c r="L31">
        <v>10</v>
      </c>
      <c r="M31">
        <v>10</v>
      </c>
      <c r="N31">
        <v>10</v>
      </c>
      <c r="O31">
        <v>10</v>
      </c>
      <c r="P31">
        <v>10</v>
      </c>
      <c r="Q31">
        <v>10</v>
      </c>
      <c r="R31">
        <v>10</v>
      </c>
    </row>
    <row r="32" spans="1:20">
      <c r="B32" t="s">
        <v>4</v>
      </c>
      <c r="E32">
        <v>17.5</v>
      </c>
      <c r="F32">
        <v>35</v>
      </c>
      <c r="G32">
        <v>35</v>
      </c>
      <c r="H32">
        <v>35</v>
      </c>
      <c r="I32">
        <v>35</v>
      </c>
      <c r="J32">
        <v>35</v>
      </c>
      <c r="K32">
        <v>35</v>
      </c>
      <c r="L32">
        <v>35</v>
      </c>
      <c r="M32">
        <v>35</v>
      </c>
      <c r="N32">
        <v>35</v>
      </c>
      <c r="O32">
        <v>35</v>
      </c>
      <c r="P32">
        <v>35</v>
      </c>
      <c r="Q32">
        <v>35</v>
      </c>
      <c r="R32">
        <v>35</v>
      </c>
    </row>
    <row r="33" spans="2:19">
      <c r="B33" t="s">
        <v>5</v>
      </c>
      <c r="R33" t="s">
        <v>0</v>
      </c>
      <c r="S33">
        <v>50</v>
      </c>
    </row>
    <row r="34" spans="2:19">
      <c r="B34" t="s">
        <v>42</v>
      </c>
      <c r="E34" s="3">
        <f>+E27-SUM(E29:E32)</f>
        <v>-52.5</v>
      </c>
      <c r="F34" s="3">
        <f t="shared" ref="F34:S34" si="10">+F27-SUM(F29:F32)</f>
        <v>-105</v>
      </c>
      <c r="G34" s="3">
        <f t="shared" si="10"/>
        <v>15635</v>
      </c>
      <c r="H34" s="3">
        <f t="shared" si="10"/>
        <v>15280.579999999998</v>
      </c>
      <c r="I34" s="3">
        <f t="shared" si="10"/>
        <v>14834.6345</v>
      </c>
      <c r="J34" s="3">
        <f t="shared" si="10"/>
        <v>14299.999750999999</v>
      </c>
      <c r="K34" s="3">
        <f t="shared" si="10"/>
        <v>13679.454728539999</v>
      </c>
      <c r="L34" s="3">
        <f t="shared" si="10"/>
        <v>12976.722091613998</v>
      </c>
      <c r="M34" s="3">
        <f t="shared" si="10"/>
        <v>11948.039744619708</v>
      </c>
      <c r="N34" s="3">
        <f t="shared" si="10"/>
        <v>10595.569106235618</v>
      </c>
      <c r="O34" s="3">
        <f t="shared" si="10"/>
        <v>8797.8452587642714</v>
      </c>
      <c r="P34" s="3">
        <f t="shared" si="10"/>
        <v>7003.6823110306832</v>
      </c>
      <c r="Q34" s="3">
        <f t="shared" si="10"/>
        <v>5224.9116305172201</v>
      </c>
      <c r="R34" s="3">
        <f t="shared" si="10"/>
        <v>3563.7566188954843</v>
      </c>
      <c r="S34" s="3">
        <f t="shared" si="10"/>
        <v>2229.8789635599483</v>
      </c>
    </row>
    <row r="35" spans="2:19">
      <c r="B35" t="s">
        <v>19</v>
      </c>
      <c r="E35">
        <v>0.1071</v>
      </c>
      <c r="F35">
        <v>0.1913</v>
      </c>
      <c r="G35">
        <v>0.15029999999999999</v>
      </c>
      <c r="H35">
        <v>0.1225</v>
      </c>
      <c r="I35">
        <v>0.1225</v>
      </c>
      <c r="J35">
        <v>0.1225</v>
      </c>
      <c r="K35">
        <v>0.1225</v>
      </c>
      <c r="L35">
        <v>6.13E-2</v>
      </c>
      <c r="M35">
        <v>0</v>
      </c>
      <c r="N35">
        <v>0</v>
      </c>
      <c r="O35">
        <v>0</v>
      </c>
      <c r="P35">
        <v>0</v>
      </c>
      <c r="Q35">
        <v>0</v>
      </c>
      <c r="R35">
        <v>0</v>
      </c>
    </row>
    <row r="36" spans="2:19">
      <c r="B36" t="s">
        <v>43</v>
      </c>
      <c r="E36">
        <f t="shared" ref="E36:Q36" si="11">+$F7*E35</f>
        <v>8568</v>
      </c>
      <c r="F36">
        <f t="shared" si="11"/>
        <v>15304</v>
      </c>
      <c r="G36">
        <f t="shared" si="11"/>
        <v>12024</v>
      </c>
      <c r="H36">
        <f t="shared" si="11"/>
        <v>9800</v>
      </c>
      <c r="I36">
        <f t="shared" si="11"/>
        <v>9800</v>
      </c>
      <c r="J36">
        <f t="shared" si="11"/>
        <v>9800</v>
      </c>
      <c r="K36">
        <f t="shared" si="11"/>
        <v>9800</v>
      </c>
      <c r="L36">
        <f t="shared" si="11"/>
        <v>4904</v>
      </c>
      <c r="M36">
        <f t="shared" si="11"/>
        <v>0</v>
      </c>
      <c r="N36">
        <f t="shared" si="11"/>
        <v>0</v>
      </c>
      <c r="O36">
        <f t="shared" si="11"/>
        <v>0</v>
      </c>
      <c r="P36">
        <f t="shared" si="11"/>
        <v>0</v>
      </c>
      <c r="Q36">
        <f t="shared" si="11"/>
        <v>0</v>
      </c>
      <c r="R36">
        <v>0</v>
      </c>
    </row>
    <row r="37" spans="2:19">
      <c r="B37" t="s">
        <v>20</v>
      </c>
      <c r="E37" s="3">
        <f>+E34-E36</f>
        <v>-8620.5</v>
      </c>
      <c r="F37" s="3">
        <f t="shared" ref="F37:S37" si="12">+F34-F36</f>
        <v>-15409</v>
      </c>
      <c r="G37" s="3">
        <f t="shared" si="12"/>
        <v>3611</v>
      </c>
      <c r="H37" s="3">
        <f t="shared" si="12"/>
        <v>5480.5799999999981</v>
      </c>
      <c r="I37" s="3">
        <f t="shared" si="12"/>
        <v>5034.6345000000001</v>
      </c>
      <c r="J37" s="3">
        <f t="shared" si="12"/>
        <v>4499.9997509999994</v>
      </c>
      <c r="K37" s="3">
        <f t="shared" si="12"/>
        <v>3879.4547285399985</v>
      </c>
      <c r="L37" s="3">
        <f t="shared" si="12"/>
        <v>8072.7220916139977</v>
      </c>
      <c r="M37" s="3">
        <f t="shared" si="12"/>
        <v>11948.039744619708</v>
      </c>
      <c r="N37" s="3">
        <f t="shared" si="12"/>
        <v>10595.569106235618</v>
      </c>
      <c r="O37" s="3">
        <f t="shared" si="12"/>
        <v>8797.8452587642714</v>
      </c>
      <c r="P37" s="3">
        <f t="shared" si="12"/>
        <v>7003.6823110306832</v>
      </c>
      <c r="Q37" s="3">
        <f t="shared" si="12"/>
        <v>5224.9116305172201</v>
      </c>
      <c r="R37" s="3">
        <f t="shared" si="12"/>
        <v>3563.7566188954843</v>
      </c>
      <c r="S37" s="3">
        <f t="shared" si="12"/>
        <v>2229.8789635599483</v>
      </c>
    </row>
    <row r="38" spans="2:19">
      <c r="B38" t="s">
        <v>45</v>
      </c>
      <c r="D38" s="6">
        <v>0.4</v>
      </c>
      <c r="E38">
        <f>+D38</f>
        <v>0.4</v>
      </c>
      <c r="F38">
        <f t="shared" ref="F38:S38" si="13">+E38</f>
        <v>0.4</v>
      </c>
      <c r="G38">
        <f t="shared" si="13"/>
        <v>0.4</v>
      </c>
      <c r="H38">
        <f t="shared" si="13"/>
        <v>0.4</v>
      </c>
      <c r="I38">
        <f t="shared" si="13"/>
        <v>0.4</v>
      </c>
      <c r="J38">
        <f t="shared" si="13"/>
        <v>0.4</v>
      </c>
      <c r="K38">
        <f t="shared" si="13"/>
        <v>0.4</v>
      </c>
      <c r="L38">
        <f t="shared" si="13"/>
        <v>0.4</v>
      </c>
      <c r="M38">
        <f t="shared" si="13"/>
        <v>0.4</v>
      </c>
      <c r="N38">
        <f t="shared" si="13"/>
        <v>0.4</v>
      </c>
      <c r="O38">
        <f t="shared" si="13"/>
        <v>0.4</v>
      </c>
      <c r="P38">
        <f t="shared" si="13"/>
        <v>0.4</v>
      </c>
      <c r="Q38">
        <f t="shared" si="13"/>
        <v>0.4</v>
      </c>
      <c r="R38">
        <f t="shared" si="13"/>
        <v>0.4</v>
      </c>
      <c r="S38">
        <f t="shared" si="13"/>
        <v>0.4</v>
      </c>
    </row>
    <row r="39" spans="2:19">
      <c r="B39" t="s">
        <v>44</v>
      </c>
      <c r="E39" s="4">
        <f>+E37*E38</f>
        <v>-3448.2000000000003</v>
      </c>
      <c r="F39" s="5">
        <f t="shared" ref="F39:S39" si="14">+F37*F38</f>
        <v>-6163.6</v>
      </c>
      <c r="G39" s="3">
        <f t="shared" si="14"/>
        <v>1444.4</v>
      </c>
      <c r="H39" s="3">
        <f t="shared" si="14"/>
        <v>2192.2319999999995</v>
      </c>
      <c r="I39" s="3">
        <f t="shared" si="14"/>
        <v>2013.8538000000001</v>
      </c>
      <c r="J39" s="3">
        <f t="shared" si="14"/>
        <v>1799.9999003999999</v>
      </c>
      <c r="K39" s="3">
        <f t="shared" si="14"/>
        <v>1551.7818914159996</v>
      </c>
      <c r="L39" s="3">
        <f t="shared" si="14"/>
        <v>3229.0888366455993</v>
      </c>
      <c r="M39" s="3">
        <f t="shared" si="14"/>
        <v>4779.2158978478828</v>
      </c>
      <c r="N39" s="3">
        <f t="shared" si="14"/>
        <v>4238.2276424942474</v>
      </c>
      <c r="O39" s="3">
        <f t="shared" si="14"/>
        <v>3519.1381035057088</v>
      </c>
      <c r="P39" s="3">
        <f t="shared" si="14"/>
        <v>2801.4729244122736</v>
      </c>
      <c r="Q39" s="3">
        <f t="shared" si="14"/>
        <v>2089.9646522068883</v>
      </c>
      <c r="R39">
        <f t="shared" si="14"/>
        <v>1425.5026475581938</v>
      </c>
      <c r="S39">
        <f t="shared" si="14"/>
        <v>891.9515854239794</v>
      </c>
    </row>
    <row r="40" spans="2:19">
      <c r="B40" t="s">
        <v>21</v>
      </c>
      <c r="E40" s="3">
        <f>+E34-E39</f>
        <v>3395.7000000000003</v>
      </c>
      <c r="F40" s="3">
        <f t="shared" ref="F40:S40" si="15">+F34-F39</f>
        <v>6058.6</v>
      </c>
      <c r="G40" s="3">
        <f t="shared" si="15"/>
        <v>14190.6</v>
      </c>
      <c r="H40" s="3">
        <f t="shared" si="15"/>
        <v>13088.347999999998</v>
      </c>
      <c r="I40" s="3">
        <f t="shared" si="15"/>
        <v>12820.780699999999</v>
      </c>
      <c r="J40" s="3">
        <f t="shared" si="15"/>
        <v>12499.999850599999</v>
      </c>
      <c r="K40" s="3">
        <f t="shared" si="15"/>
        <v>12127.672837123999</v>
      </c>
      <c r="L40" s="3">
        <f t="shared" si="15"/>
        <v>9747.6332549683975</v>
      </c>
      <c r="M40" s="3">
        <f t="shared" si="15"/>
        <v>7168.8238467718247</v>
      </c>
      <c r="N40" s="3">
        <f t="shared" si="15"/>
        <v>6357.3414637413707</v>
      </c>
      <c r="O40" s="3">
        <f t="shared" si="15"/>
        <v>5278.7071552585621</v>
      </c>
      <c r="P40" s="3">
        <f t="shared" si="15"/>
        <v>4202.2093866184096</v>
      </c>
      <c r="Q40" s="3">
        <f t="shared" si="15"/>
        <v>3134.9469783103318</v>
      </c>
      <c r="R40" s="3">
        <f t="shared" si="15"/>
        <v>2138.2539713372907</v>
      </c>
      <c r="S40" s="3">
        <f t="shared" si="15"/>
        <v>1337.9273781359689</v>
      </c>
    </row>
    <row r="42" spans="2:19">
      <c r="B42" t="s">
        <v>50</v>
      </c>
    </row>
    <row r="43" spans="2:19">
      <c r="B43" t="s">
        <v>49</v>
      </c>
      <c r="D43">
        <v>6</v>
      </c>
      <c r="E43" t="s">
        <v>7</v>
      </c>
      <c r="F43" t="s">
        <v>11</v>
      </c>
    </row>
    <row r="45" spans="2:19">
      <c r="B45" t="s">
        <v>22</v>
      </c>
      <c r="E45" s="3">
        <f>+E40/(1+$D43/100)^E17</f>
        <v>3395.7000000000003</v>
      </c>
      <c r="F45" s="3">
        <f t="shared" ref="F45:S45" si="16">+F40/(1+$D43/100)^F17</f>
        <v>5715.6603773584902</v>
      </c>
      <c r="G45" s="3">
        <f t="shared" si="16"/>
        <v>12629.583481666072</v>
      </c>
      <c r="H45" s="3">
        <f t="shared" si="16"/>
        <v>10989.229363837258</v>
      </c>
      <c r="I45" s="3">
        <f t="shared" si="16"/>
        <v>10155.259150234311</v>
      </c>
      <c r="J45" s="3">
        <f t="shared" si="16"/>
        <v>9340.7270491853396</v>
      </c>
      <c r="K45" s="3">
        <f t="shared" si="16"/>
        <v>8549.5307975345168</v>
      </c>
      <c r="L45" s="3">
        <f t="shared" si="16"/>
        <v>6482.7328371983785</v>
      </c>
      <c r="M45" s="3">
        <f t="shared" si="16"/>
        <v>4497.8087694349451</v>
      </c>
      <c r="N45" s="3">
        <f t="shared" si="16"/>
        <v>3762.9006445242376</v>
      </c>
      <c r="O45" s="3">
        <f t="shared" si="16"/>
        <v>2947.6025043608415</v>
      </c>
      <c r="P45" s="3">
        <f t="shared" si="16"/>
        <v>2213.6714839541519</v>
      </c>
      <c r="Q45" s="3">
        <f t="shared" si="16"/>
        <v>1557.9726046585263</v>
      </c>
      <c r="R45" s="3">
        <f t="shared" si="16"/>
        <v>1002.4969012278181</v>
      </c>
      <c r="S45" s="3">
        <f t="shared" si="16"/>
        <v>591.7665696195063</v>
      </c>
    </row>
    <row r="47" spans="2:19">
      <c r="B47" t="s">
        <v>17</v>
      </c>
      <c r="E47" s="10">
        <f>+SUM(E45:R45)</f>
        <v>83240.875965174884</v>
      </c>
      <c r="G47" t="s">
        <v>47</v>
      </c>
      <c r="L47" s="10">
        <f>+E47/G27</f>
        <v>5.2551058058822528</v>
      </c>
    </row>
    <row r="48" spans="2:19">
      <c r="E48" t="s">
        <v>0</v>
      </c>
    </row>
    <row r="49" spans="2:4">
      <c r="B49" t="s">
        <v>13</v>
      </c>
    </row>
    <row r="50" spans="2:4">
      <c r="B50" t="s">
        <v>58</v>
      </c>
    </row>
    <row r="51" spans="2:4">
      <c r="B51" t="s">
        <v>48</v>
      </c>
    </row>
    <row r="52" spans="2:4">
      <c r="B52" t="s">
        <v>14</v>
      </c>
    </row>
    <row r="53" spans="2:4">
      <c r="B53" t="s">
        <v>15</v>
      </c>
    </row>
    <row r="54" spans="2:4">
      <c r="B54" t="s">
        <v>12</v>
      </c>
    </row>
    <row r="55" spans="2:4">
      <c r="B55" t="s">
        <v>16</v>
      </c>
    </row>
    <row r="56" spans="2:4">
      <c r="B56" t="s">
        <v>53</v>
      </c>
    </row>
    <row r="57" spans="2:4">
      <c r="B57" t="s">
        <v>54</v>
      </c>
    </row>
    <row r="58" spans="2:4">
      <c r="B58" t="s">
        <v>66</v>
      </c>
    </row>
    <row r="59" spans="2:4">
      <c r="B59" t="s">
        <v>67</v>
      </c>
    </row>
    <row r="60" spans="2:4">
      <c r="B60" t="s">
        <v>60</v>
      </c>
    </row>
    <row r="63" spans="2:4">
      <c r="B63" s="9" t="s">
        <v>56</v>
      </c>
      <c r="C63" s="9"/>
      <c r="D63" s="9"/>
    </row>
    <row r="64" spans="2:4">
      <c r="B64" t="s">
        <v>57</v>
      </c>
    </row>
    <row r="65" spans="2:6">
      <c r="B65" t="s">
        <v>59</v>
      </c>
    </row>
    <row r="67" spans="2:6">
      <c r="B67" s="9" t="s">
        <v>61</v>
      </c>
    </row>
    <row r="68" spans="2:6">
      <c r="B68" t="s">
        <v>62</v>
      </c>
    </row>
    <row r="69" spans="2:6">
      <c r="B69" t="s">
        <v>63</v>
      </c>
    </row>
    <row r="70" spans="2:6">
      <c r="B70" t="s">
        <v>64</v>
      </c>
      <c r="F70" t="s">
        <v>65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jsmerc01</dc:creator>
  <cp:lastModifiedBy>jsmerc01</cp:lastModifiedBy>
  <dcterms:created xsi:type="dcterms:W3CDTF">2016-05-28T14:32:38Z</dcterms:created>
  <dcterms:modified xsi:type="dcterms:W3CDTF">2016-06-26T02:06:40Z</dcterms:modified>
</cp:coreProperties>
</file>